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червень" sheetId="1" r:id="rId1"/>
    <sheet name="травень" sheetId="2" r:id="rId2"/>
    <sheet name="квітень" sheetId="3" r:id="rId3"/>
    <sheet name="березень" sheetId="4" r:id="rId4"/>
    <sheet name="лютий" sheetId="5" r:id="rId5"/>
    <sheet name="січень 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<sst xmlns="http://schemas.openxmlformats.org/spreadsheetml/2006/main" count="1219" uniqueCount="248">
  <si>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</si>
  <si>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</si>
  <si>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</si>
  <si>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</si>
  <si>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</si>
  <si>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</si>
  <si>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</si>
  <si>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</si>
  <si>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</si>
  <si>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</si>
  <si>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</si>
  <si>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</si>
  <si>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</si>
  <si>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</si>
  <si>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</si>
  <si>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</si>
  <si>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</si>
  <si>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</si>
  <si>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</si>
  <si>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</si>
  <si>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</si>
  <si>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</si>
  <si>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</si>
  <si>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</si>
  <si>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</si>
  <si>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</si>
  <si>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</si>
  <si>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</si>
  <si>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</si>
  <si>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</si>
  <si>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</si>
  <si>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</si>
  <si>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</si>
  <si>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</si>
  <si>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</si>
  <si>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</si>
  <si>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</si>
  <si>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</si>
  <si>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</si>
  <si>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</si>
  <si>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</si>
  <si>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</si>
  <si>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</si>
  <si>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</si>
  <si>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</si>
  <si>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</si>
  <si>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</si>
  <si>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</si>
  <si>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</si>
  <si>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</si>
  <si>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</si>
  <si>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</si>
  <si>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</si>
  <si>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</si>
  <si>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</si>
  <si>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</si>
  <si>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</si>
  <si>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</si>
  <si>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</si>
  <si>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</si>
  <si>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</si>
  <si>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</si>
  <si>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</si>
  <si>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</si>
  <si>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</si>
  <si>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</si>
  <si>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</si>
  <si>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</si>
  <si>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</si>
  <si>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</si>
  <si>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</si>
  <si>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</si>
  <si>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</si>
  <si>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</si>
  <si>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</si>
  <si>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</si>
  <si>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</si>
  <si>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</si>
  <si>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</si>
  <si>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</si>
  <si>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</si>
  <si>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</si>
  <si>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</si>
  <si>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</si>
  <si>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</si>
  <si>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</si>
  <si>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</si>
  <si>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</si>
  <si>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</si>
  <si>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</si>
  <si>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</si>
  <si>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</si>
  <si>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</si>
  <si>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</si>
  <si>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</si>
  <si>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</si>
  <si>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</si>
  <si>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</si>
  <si>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</si>
  <si>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</si>
  <si>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</si>
  <si>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</si>
  <si>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</si>
  <si>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</si>
  <si>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</si>
  <si>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</si>
  <si>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</si>
  <si>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</si>
  <si>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</si>
  <si>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</si>
  <si>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</si>
  <si>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</si>
  <si>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</si>
  <si>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</si>
  <si>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</si>
  <si>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</si>
  <si>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</si>
  <si>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</si>
  <si>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</si>
  <si>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</si>
  <si>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</si>
  <si>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</si>
  <si>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</si>
  <si>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</si>
  <si>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</si>
  <si>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</si>
  <si>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</si>
  <si>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</si>
  <si>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</si>
  <si>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</si>
  <si>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</si>
  <si>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</si>
  <si>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</si>
  <si>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</si>
  <si>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</si>
  <si>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</si>
  <si>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</si>
  <si>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</si>
  <si>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</si>
  <si>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</si>
  <si>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</si>
  <si>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</si>
  <si>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</si>
  <si>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</si>
  <si>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</si>
  <si>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</si>
  <si>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</si>
  <si>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</si>
  <si>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</si>
  <si>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</si>
  <si>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</si>
  <si>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</si>
  <si>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</si>
  <si>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</si>
  <si>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</si>
  <si>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</si>
  <si>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</si>
  <si>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</si>
  <si>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</si>
  <si>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</si>
  <si>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</si>
  <si>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</si>
  <si>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</si>
  <si>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</si>
  <si>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</si>
  <si>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</si>
  <si>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</si>
  <si>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</si>
  <si>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</si>
  <si>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</si>
  <si>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</si>
  <si>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</si>
  <si>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</si>
  <si>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</si>
  <si>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</si>
  <si>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</si>
  <si>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</si>
  <si>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</si>
  <si>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</si>
  <si>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</si>
  <si>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</si>
  <si>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</si>
  <si>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</si>
  <si>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</si>
  <si>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</si>
  <si>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</si>
  <si>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</si>
  <si>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</si>
  <si>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</si>
  <si>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</si>
  <si>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</si>
  <si>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</si>
  <si>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</si>
  <si>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</si>
  <si>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</si>
  <si>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</si>
  <si>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</si>
  <si>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</si>
  <si>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</si>
  <si>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</si>
  <si>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</si>
  <si>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</si>
  <si>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</si>
  <si>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</si>
  <si>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</si>
  <si>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</si>
  <si>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</si>
  <si>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</si>
  <si>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</si>
  <si>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</si>
  <si>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</si>
  <si>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</si>
  <si>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</si>
  <si>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</si>
  <si>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</si>
  <si>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</si>
  <si>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</si>
  <si>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</si>
  <si>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</si>
  <si>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</si>
  <si>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</si>
  <si>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</si>
  <si>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</si>
  <si>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</si>
  <si>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</si>
  <si>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</si>
  <si>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</si>
  <si>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</si>
  <si>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</si>
  <si>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</si>
  <si>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</si>
  <si>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</si>
  <si>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</si>
  <si>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</si>
  <si>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</si>
  <si>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</si>
  <si>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</si>
  <si>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</si>
  <si>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</si>
  <si>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</si>
  <si>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</si>
  <si>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</si>
  <si>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</si>
  <si>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</si>
  <si>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</si>
  <si>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</si>
  <si>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24.06.2014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</si>
  <si>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23.06.14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</si>
</sst>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4" fillId="0" borderId="11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2" xfId="22" applyNumberFormat="1" applyFont="1" applyFill="1" applyBorder="1" applyAlignment="1" applyProtection="1">
      <alignment horizontal="center" wrapText="1"/>
      <protection/>
    </xf>
    <xf numFmtId="9" fontId="4" fillId="0" borderId="11" xfId="22" applyFont="1" applyFill="1" applyBorder="1" applyAlignment="1" applyProtection="1">
      <alignment horizontal="center" vertic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1" xfId="22" applyFont="1" applyFill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2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2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6"/>
      <sheetName val="депозит"/>
      <sheetName val="залишки  (2)"/>
      <sheetName val="надх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6">
          <cell r="G6">
            <v>119378867.02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105553645.06</v>
          </cell>
        </row>
      </sheetData>
      <sheetData sheetId="13">
        <row r="52">
          <cell r="B52">
            <v>27606293.59</v>
          </cell>
        </row>
      </sheetData>
      <sheetData sheetId="17">
        <row r="28">
          <cell r="C28">
            <v>4870376.3</v>
          </cell>
        </row>
      </sheetData>
      <sheetData sheetId="18">
        <row r="28">
          <cell r="C28">
            <v>3219411</v>
          </cell>
        </row>
      </sheetData>
      <sheetData sheetId="19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39" sqref="E1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1" t="s">
        <v>246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197" t="s">
        <v>224</v>
      </c>
      <c r="E3" s="197"/>
      <c r="F3" s="198" t="s">
        <v>107</v>
      </c>
      <c r="G3" s="199"/>
      <c r="H3" s="199"/>
      <c r="I3" s="199"/>
      <c r="J3" s="199"/>
      <c r="K3" s="199"/>
      <c r="L3" s="200"/>
      <c r="M3" s="201" t="s">
        <v>225</v>
      </c>
      <c r="N3" s="203" t="s">
        <v>243</v>
      </c>
      <c r="O3" s="203"/>
      <c r="P3" s="203"/>
      <c r="Q3" s="203"/>
      <c r="R3" s="203"/>
    </row>
    <row r="4" spans="1:18" ht="22.5" customHeight="1">
      <c r="A4" s="193"/>
      <c r="B4" s="195"/>
      <c r="C4" s="196"/>
      <c r="D4" s="197"/>
      <c r="E4" s="197"/>
      <c r="F4" s="204" t="s">
        <v>116</v>
      </c>
      <c r="G4" s="185" t="s">
        <v>238</v>
      </c>
      <c r="H4" s="187" t="s">
        <v>239</v>
      </c>
      <c r="I4" s="183" t="s">
        <v>188</v>
      </c>
      <c r="J4" s="189" t="s">
        <v>189</v>
      </c>
      <c r="K4" s="178" t="s">
        <v>240</v>
      </c>
      <c r="L4" s="179"/>
      <c r="M4" s="202"/>
      <c r="N4" s="181" t="s">
        <v>247</v>
      </c>
      <c r="O4" s="183" t="s">
        <v>136</v>
      </c>
      <c r="P4" s="183" t="s">
        <v>135</v>
      </c>
      <c r="Q4" s="178" t="s">
        <v>242</v>
      </c>
      <c r="R4" s="179"/>
    </row>
    <row r="5" spans="1:18" ht="82.5" customHeight="1">
      <c r="A5" s="194"/>
      <c r="B5" s="195"/>
      <c r="C5" s="196"/>
      <c r="D5" s="150" t="s">
        <v>209</v>
      </c>
      <c r="E5" s="158" t="s">
        <v>237</v>
      </c>
      <c r="F5" s="205"/>
      <c r="G5" s="186"/>
      <c r="H5" s="188"/>
      <c r="I5" s="184"/>
      <c r="J5" s="190"/>
      <c r="K5" s="165"/>
      <c r="L5" s="166"/>
      <c r="M5" s="151" t="s">
        <v>241</v>
      </c>
      <c r="N5" s="182"/>
      <c r="O5" s="184"/>
      <c r="P5" s="184"/>
      <c r="Q5" s="165"/>
      <c r="R5" s="166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212764.75</v>
      </c>
      <c r="G8" s="22">
        <f aca="true" t="shared" si="0" ref="G8:G30">F8-E8</f>
        <v>-20501.78</v>
      </c>
      <c r="H8" s="51">
        <f>F8/E8*100</f>
        <v>91.21100656832337</v>
      </c>
      <c r="I8" s="36">
        <f aca="true" t="shared" si="1" ref="I8:I17">F8-D8</f>
        <v>-275711.55</v>
      </c>
      <c r="J8" s="36">
        <f aca="true" t="shared" si="2" ref="J8:J14">F8/D8*100</f>
        <v>43.55682148755221</v>
      </c>
      <c r="K8" s="36">
        <f>F8-227938.8</f>
        <v>-15174.049999999988</v>
      </c>
      <c r="L8" s="136">
        <f>F8/227938.8</f>
        <v>0.9334292801401078</v>
      </c>
      <c r="M8" s="22">
        <f>M10+M19+M33+M56+M68+M30</f>
        <v>41595.47</v>
      </c>
      <c r="N8" s="22">
        <f>N10+N19+N33+N56+N68+N30</f>
        <v>27959.550000000017</v>
      </c>
      <c r="O8" s="36">
        <f aca="true" t="shared" si="3" ref="O8:O71">N8-M8</f>
        <v>-13635.919999999984</v>
      </c>
      <c r="P8" s="36">
        <f>F8/M8*100</f>
        <v>511.5094263870561</v>
      </c>
      <c r="Q8" s="36">
        <f>N8-40804</f>
        <v>-12844.449999999983</v>
      </c>
      <c r="R8" s="134">
        <f>N8/40804</f>
        <v>0.6852159102048823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173919.64</v>
      </c>
      <c r="G9" s="22">
        <f t="shared" si="0"/>
        <v>173919.64</v>
      </c>
      <c r="H9" s="20"/>
      <c r="I9" s="56">
        <f t="shared" si="1"/>
        <v>-213093.56</v>
      </c>
      <c r="J9" s="56">
        <f t="shared" si="2"/>
        <v>44.9389426510517</v>
      </c>
      <c r="K9" s="56"/>
      <c r="L9" s="135"/>
      <c r="M9" s="20">
        <f>M10+M17</f>
        <v>34434.5</v>
      </c>
      <c r="N9" s="20">
        <f>N10+N17</f>
        <v>25159.49000000002</v>
      </c>
      <c r="O9" s="36">
        <f t="shared" si="3"/>
        <v>-9275.00999999998</v>
      </c>
      <c r="P9" s="56">
        <f>F9/M9*100</f>
        <v>505.0738067926063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173919.64</v>
      </c>
      <c r="G10" s="49">
        <f t="shared" si="0"/>
        <v>-16626.659999999974</v>
      </c>
      <c r="H10" s="40">
        <f aca="true" t="shared" si="4" ref="H10:H17">F10/E10*100</f>
        <v>91.27421524322436</v>
      </c>
      <c r="I10" s="56">
        <f t="shared" si="1"/>
        <v>-213093.56</v>
      </c>
      <c r="J10" s="56">
        <f t="shared" si="2"/>
        <v>44.9389426510517</v>
      </c>
      <c r="K10" s="141">
        <f>F10-179133.7</f>
        <v>-5214.059999999998</v>
      </c>
      <c r="L10" s="142">
        <f>F10/179133.7</f>
        <v>0.9708929140636295</v>
      </c>
      <c r="M10" s="40">
        <f>E10-травень!E10</f>
        <v>34434.5</v>
      </c>
      <c r="N10" s="40">
        <f>F10-травень!F10</f>
        <v>25159.49000000002</v>
      </c>
      <c r="O10" s="53">
        <f t="shared" si="3"/>
        <v>-9275.00999999998</v>
      </c>
      <c r="P10" s="56">
        <f aca="true" t="shared" si="5" ref="P10:P17">N10/M10*100</f>
        <v>73.06477515282643</v>
      </c>
      <c r="Q10" s="141">
        <f>N10-33294.7</f>
        <v>-8135.209999999977</v>
      </c>
      <c r="R10" s="142">
        <f>N10/33294.7</f>
        <v>0.7556605105317069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306.38</v>
      </c>
      <c r="G19" s="49">
        <f t="shared" si="0"/>
        <v>-716.22</v>
      </c>
      <c r="H19" s="40">
        <f aca="true" t="shared" si="6" ref="H19:H29">F19/E19*100</f>
        <v>29.96088402112263</v>
      </c>
      <c r="I19" s="56">
        <f aca="true" t="shared" si="7" ref="I19:I29">F19-D19</f>
        <v>-693.62</v>
      </c>
      <c r="J19" s="56">
        <f aca="true" t="shared" si="8" ref="J19:J29">F19/D19*100</f>
        <v>30.637999999999998</v>
      </c>
      <c r="K19" s="56">
        <f>F19-5620.4</f>
        <v>-5314.0199999999995</v>
      </c>
      <c r="L19" s="135">
        <f>F19/5620.4</f>
        <v>0.05451213436766067</v>
      </c>
      <c r="M19" s="40">
        <f>E19-травень!E19</f>
        <v>11</v>
      </c>
      <c r="N19" s="40">
        <f>F19-травень!F19</f>
        <v>-339</v>
      </c>
      <c r="O19" s="53">
        <f t="shared" si="3"/>
        <v>-350</v>
      </c>
      <c r="P19" s="56">
        <f aca="true" t="shared" si="9" ref="P19:P29">N19/M19*100</f>
        <v>-3081.8181818181815</v>
      </c>
      <c r="Q19" s="56">
        <f>N19-465.3</f>
        <v>-804.3</v>
      </c>
      <c r="R19" s="135">
        <f>N19/465.3</f>
        <v>-0.7285622179239201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816.66</v>
      </c>
      <c r="G29" s="49">
        <f t="shared" si="0"/>
        <v>54.059999999999945</v>
      </c>
      <c r="H29" s="40">
        <f t="shared" si="6"/>
        <v>107.08890637293469</v>
      </c>
      <c r="I29" s="56">
        <f t="shared" si="7"/>
        <v>-113.34000000000003</v>
      </c>
      <c r="J29" s="56">
        <f t="shared" si="8"/>
        <v>87.81290322580645</v>
      </c>
      <c r="K29" s="148">
        <f>F29-2001.3</f>
        <v>-1184.6399999999999</v>
      </c>
      <c r="L29" s="149">
        <f>F29/2001.3</f>
        <v>0.4080647579073602</v>
      </c>
      <c r="M29" s="40">
        <f>E29-травень!E29</f>
        <v>11</v>
      </c>
      <c r="N29" s="40">
        <f>F29-травень!F29</f>
        <v>11</v>
      </c>
      <c r="O29" s="148">
        <f t="shared" si="3"/>
        <v>0</v>
      </c>
      <c r="P29" s="145">
        <f t="shared" si="9"/>
        <v>100</v>
      </c>
      <c r="Q29" s="148">
        <f>N29-403.3</f>
        <v>-392.3</v>
      </c>
      <c r="R29" s="149">
        <f>N29/403.3</f>
        <v>0.02727498140342177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35281.34</v>
      </c>
      <c r="G33" s="49">
        <f aca="true" t="shared" si="14" ref="G33:G72">F33-E33</f>
        <v>-2999.8900000000067</v>
      </c>
      <c r="H33" s="40">
        <f aca="true" t="shared" si="15" ref="H33:H67">F33/E33*100</f>
        <v>92.16354855891515</v>
      </c>
      <c r="I33" s="56">
        <f>F33-D33</f>
        <v>-58284.66</v>
      </c>
      <c r="J33" s="56">
        <f aca="true" t="shared" si="16" ref="J33:J72">F33/D33*100</f>
        <v>37.70743646196267</v>
      </c>
      <c r="K33" s="141">
        <f>F33-39969.9</f>
        <v>-4688.560000000005</v>
      </c>
      <c r="L33" s="142">
        <f>F33/39969.9</f>
        <v>0.8826977300418564</v>
      </c>
      <c r="M33" s="40">
        <f>E33-травень!E33</f>
        <v>6540.770000000004</v>
      </c>
      <c r="N33" s="40">
        <f>F33-травень!F33</f>
        <v>2576.829999999998</v>
      </c>
      <c r="O33" s="53">
        <f t="shared" si="3"/>
        <v>-3963.940000000006</v>
      </c>
      <c r="P33" s="56">
        <f aca="true" t="shared" si="17" ref="P33:P67">N33/M33*100</f>
        <v>39.39643191856611</v>
      </c>
      <c r="Q33" s="141">
        <f>N33-6504.1</f>
        <v>-3927.2700000000023</v>
      </c>
      <c r="R33" s="142">
        <f>N33/6504.1</f>
        <v>0.3961854830030285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26569.21</v>
      </c>
      <c r="G55" s="144">
        <f t="shared" si="14"/>
        <v>-1761.7200000000012</v>
      </c>
      <c r="H55" s="146">
        <f t="shared" si="15"/>
        <v>93.78163724240609</v>
      </c>
      <c r="I55" s="145">
        <f t="shared" si="18"/>
        <v>-43696.79</v>
      </c>
      <c r="J55" s="145">
        <f t="shared" si="16"/>
        <v>37.81232744143683</v>
      </c>
      <c r="K55" s="148">
        <f>F55-28815.15</f>
        <v>-2245.9400000000023</v>
      </c>
      <c r="L55" s="149">
        <f>F55/28815.15</f>
        <v>0.9220569735017863</v>
      </c>
      <c r="M55" s="40">
        <f>E55-травень!E55</f>
        <v>4780.77</v>
      </c>
      <c r="N55" s="40">
        <f>F55-травень!F55</f>
        <v>2031.0299999999988</v>
      </c>
      <c r="O55" s="148">
        <f t="shared" si="3"/>
        <v>-2749.7400000000016</v>
      </c>
      <c r="P55" s="148">
        <f t="shared" si="17"/>
        <v>42.483323816037974</v>
      </c>
      <c r="Q55" s="163">
        <f>N55-4583</f>
        <v>-2551.970000000001</v>
      </c>
      <c r="R55" s="164">
        <f>N55/4583</f>
        <v>0.4431660484398863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0.36+3253.19</f>
        <v>3253.55</v>
      </c>
      <c r="G56" s="49">
        <f t="shared" si="14"/>
        <v>-144.75</v>
      </c>
      <c r="H56" s="40">
        <f t="shared" si="15"/>
        <v>95.74051731748227</v>
      </c>
      <c r="I56" s="56">
        <f t="shared" si="18"/>
        <v>-3606.45</v>
      </c>
      <c r="J56" s="56">
        <f t="shared" si="16"/>
        <v>47.42784256559767</v>
      </c>
      <c r="K56" s="56">
        <f>F56-3189.3</f>
        <v>64.25</v>
      </c>
      <c r="L56" s="135">
        <f>F56/3189.3</f>
        <v>1.0201454864703854</v>
      </c>
      <c r="M56" s="40">
        <f>E56-травень!E56</f>
        <v>609.2000000000003</v>
      </c>
      <c r="N56" s="40">
        <f>F56-травень!F56</f>
        <v>562.23</v>
      </c>
      <c r="O56" s="53">
        <f t="shared" si="3"/>
        <v>-46.970000000000255</v>
      </c>
      <c r="P56" s="56">
        <f t="shared" si="17"/>
        <v>92.28988837820089</v>
      </c>
      <c r="Q56" s="56">
        <f>N56-539.8</f>
        <v>22.430000000000064</v>
      </c>
      <c r="R56" s="135">
        <f>N56/539.8</f>
        <v>1.04155242682475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F68-0.4</f>
        <v>0.53</v>
      </c>
      <c r="L68" s="135"/>
      <c r="M68" s="40">
        <f>E68-травень!E68</f>
        <v>0</v>
      </c>
      <c r="N68" s="40">
        <f>F68-травень!F68</f>
        <v>0</v>
      </c>
      <c r="O68" s="53">
        <f t="shared" si="3"/>
        <v>0</v>
      </c>
      <c r="P68" s="56"/>
      <c r="Q68" s="56">
        <f>N68-0.1</f>
        <v>-0.1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7428.5</v>
      </c>
      <c r="F74" s="22">
        <f>F77+F86+F88+F89+F94+F95+F96+F97+F99+F103+F87</f>
        <v>6293.8899999999985</v>
      </c>
      <c r="G74" s="50">
        <f aca="true" t="shared" si="24" ref="G74:G92">F74-E74</f>
        <v>-1134.6100000000015</v>
      </c>
      <c r="H74" s="51">
        <f aca="true" t="shared" si="25" ref="H74:H87">F74/E74*100</f>
        <v>84.7262569832402</v>
      </c>
      <c r="I74" s="36">
        <f aca="true" t="shared" si="26" ref="I74:I92">F74-D74</f>
        <v>-12064.41</v>
      </c>
      <c r="J74" s="36">
        <f aca="true" t="shared" si="27" ref="J74:J92">F74/D74*100</f>
        <v>34.28362103244853</v>
      </c>
      <c r="K74" s="36">
        <f>F74-9149.2</f>
        <v>-2855.310000000002</v>
      </c>
      <c r="L74" s="136">
        <f>F74/9149.2</f>
        <v>0.6879169763476586</v>
      </c>
      <c r="M74" s="22">
        <f>M77+M86+M88+M89+M94+M95+M96+M97+M99+M87+M103</f>
        <v>1500.5</v>
      </c>
      <c r="N74" s="22">
        <f>N77+N86+N88+N89+N94+N95+N96+N97+N99+N32+N103+N87</f>
        <v>945.5999999999998</v>
      </c>
      <c r="O74" s="55">
        <f aca="true" t="shared" si="28" ref="O74:O92">N74-M74</f>
        <v>-554.9000000000002</v>
      </c>
      <c r="P74" s="36">
        <f>N74/M74*100</f>
        <v>63.01899366877706</v>
      </c>
      <c r="Q74" s="36">
        <f>N74-1610.7</f>
        <v>-665.1000000000003</v>
      </c>
      <c r="R74" s="136">
        <f>N74/1610.7</f>
        <v>0.5870739430061462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56.48</v>
      </c>
      <c r="G89" s="49">
        <f t="shared" si="24"/>
        <v>-27.520000000000003</v>
      </c>
      <c r="H89" s="40">
        <f>F89/E89*100</f>
        <v>67.23809523809523</v>
      </c>
      <c r="I89" s="56">
        <f t="shared" si="26"/>
        <v>-118.52000000000001</v>
      </c>
      <c r="J89" s="56">
        <f t="shared" si="27"/>
        <v>32.27428571428571</v>
      </c>
      <c r="K89" s="56">
        <f>F89-81.2</f>
        <v>-24.720000000000006</v>
      </c>
      <c r="L89" s="135">
        <f>F89/81.2</f>
        <v>0.6955665024630541</v>
      </c>
      <c r="M89" s="40">
        <f>E89-травень!E89</f>
        <v>15</v>
      </c>
      <c r="N89" s="40">
        <f>F89-травень!F89</f>
        <v>9.389999999999993</v>
      </c>
      <c r="O89" s="53">
        <f t="shared" si="28"/>
        <v>-5.6100000000000065</v>
      </c>
      <c r="P89" s="56">
        <f>N89/M89*100</f>
        <v>62.59999999999996</v>
      </c>
      <c r="Q89" s="56">
        <f>N89-7.8</f>
        <v>1.5899999999999936</v>
      </c>
      <c r="R89" s="135">
        <f>N89/7.8</f>
        <v>1.2038461538461531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395.48</v>
      </c>
      <c r="G96" s="49">
        <f t="shared" si="31"/>
        <v>-79.01999999999998</v>
      </c>
      <c r="H96" s="40">
        <f>F96/E96*100</f>
        <v>83.34668071654373</v>
      </c>
      <c r="I96" s="56">
        <f t="shared" si="32"/>
        <v>-804.52</v>
      </c>
      <c r="J96" s="56">
        <f>F96/D96*100</f>
        <v>32.95666666666667</v>
      </c>
      <c r="K96" s="56">
        <f>F96-463.2</f>
        <v>-67.71999999999997</v>
      </c>
      <c r="L96" s="135">
        <f>F96/463.2</f>
        <v>0.8537996545768567</v>
      </c>
      <c r="M96" s="40">
        <f>E96-травень!E96</f>
        <v>100</v>
      </c>
      <c r="N96" s="40">
        <f>F96-травень!F96</f>
        <v>44.5</v>
      </c>
      <c r="O96" s="53">
        <f t="shared" si="33"/>
        <v>-55.5</v>
      </c>
      <c r="P96" s="56">
        <f>N96/M96*100</f>
        <v>44.5</v>
      </c>
      <c r="Q96" s="56">
        <f>N96-89.2</f>
        <v>-44.7</v>
      </c>
      <c r="R96" s="135">
        <f>N96/89.2</f>
        <v>0.49887892376681614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1.36+1949.99</f>
        <v>1951.35</v>
      </c>
      <c r="G99" s="49">
        <f t="shared" si="31"/>
        <v>114.34999999999991</v>
      </c>
      <c r="H99" s="40">
        <f>F99/E99*100</f>
        <v>106.2248230811105</v>
      </c>
      <c r="I99" s="56">
        <f t="shared" si="32"/>
        <v>-2621.35</v>
      </c>
      <c r="J99" s="56">
        <f>F99/D99*100</f>
        <v>42.67391256806701</v>
      </c>
      <c r="K99" s="56">
        <f>F99-1991.7</f>
        <v>-40.350000000000136</v>
      </c>
      <c r="L99" s="135">
        <f>F99/1991.7</f>
        <v>0.979740924838078</v>
      </c>
      <c r="M99" s="40">
        <f>E99-травень!E99</f>
        <v>330</v>
      </c>
      <c r="N99" s="40">
        <f>F99-травень!F99</f>
        <v>301.41999999999985</v>
      </c>
      <c r="O99" s="53">
        <f t="shared" si="33"/>
        <v>-28.580000000000155</v>
      </c>
      <c r="P99" s="56">
        <f>N99/M99*100</f>
        <v>91.3393939393939</v>
      </c>
      <c r="Q99" s="56">
        <f>N99-325.9</f>
        <v>-24.480000000000132</v>
      </c>
      <c r="R99" s="135">
        <f>N99/325.9</f>
        <v>0.9248849340288428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358.3</v>
      </c>
      <c r="G102" s="144"/>
      <c r="H102" s="146"/>
      <c r="I102" s="145"/>
      <c r="J102" s="145"/>
      <c r="K102" s="148">
        <f>F102-244.8</f>
        <v>113.5</v>
      </c>
      <c r="L102" s="149">
        <f>F102/244.8</f>
        <v>1.463643790849673</v>
      </c>
      <c r="M102" s="40">
        <f>E102-травень!E102</f>
        <v>0</v>
      </c>
      <c r="N102" s="40">
        <f>F102-травень!F102</f>
        <v>67.10000000000002</v>
      </c>
      <c r="O102" s="53"/>
      <c r="P102" s="60"/>
      <c r="Q102" s="60">
        <f>N102-60.1</f>
        <v>7.000000000000021</v>
      </c>
      <c r="R102" s="138">
        <f>N102/60.1</f>
        <v>1.1164725457570719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-53.64</v>
      </c>
      <c r="K103" s="56">
        <f>F103-59.1</f>
        <v>-45.82</v>
      </c>
      <c r="L103" s="135">
        <f>F103/59.1</f>
        <v>0.22470389170896785</v>
      </c>
      <c r="M103" s="40">
        <f>E103-травень!E103</f>
        <v>0</v>
      </c>
      <c r="N103" s="40">
        <f>F103-травень!F103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15.2</v>
      </c>
      <c r="F104" s="57">
        <v>11.86</v>
      </c>
      <c r="G104" s="49">
        <f>F104-E104</f>
        <v>-3.34</v>
      </c>
      <c r="H104" s="40">
        <f>F104/E104*100</f>
        <v>78.02631578947368</v>
      </c>
      <c r="I104" s="56">
        <f t="shared" si="34"/>
        <v>-33.14</v>
      </c>
      <c r="J104" s="56">
        <f aca="true" t="shared" si="36" ref="J104:J109">F104/D104*100</f>
        <v>26.355555555555554</v>
      </c>
      <c r="K104" s="56">
        <f>F104-13.4</f>
        <v>-1.540000000000001</v>
      </c>
      <c r="L104" s="135">
        <f>F104/13.4</f>
        <v>0.8850746268656716</v>
      </c>
      <c r="M104" s="40">
        <f>E104-травень!E104</f>
        <v>3</v>
      </c>
      <c r="N104" s="40">
        <f>F104-травень!F104</f>
        <v>0.1899999999999995</v>
      </c>
      <c r="O104" s="53">
        <f t="shared" si="35"/>
        <v>-2.8100000000000005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0.08</v>
      </c>
      <c r="G105" s="49"/>
      <c r="H105" s="40"/>
      <c r="I105" s="56"/>
      <c r="J105" s="56"/>
      <c r="K105" s="56"/>
      <c r="L105" s="135"/>
      <c r="M105" s="40">
        <f>E105-травень!E105</f>
        <v>0</v>
      </c>
      <c r="N105" s="40">
        <f>F105-травень!F105</f>
        <v>0.04</v>
      </c>
      <c r="O105" s="53">
        <f t="shared" si="35"/>
        <v>0.04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240710.23</v>
      </c>
      <c r="F106" s="22">
        <f>F8+F74+F104+F105</f>
        <v>219070.57999999996</v>
      </c>
      <c r="G106" s="50">
        <f>F106-E106</f>
        <v>-21639.650000000052</v>
      </c>
      <c r="H106" s="51">
        <f>F106/E106*100</f>
        <v>91.01008295326707</v>
      </c>
      <c r="I106" s="36">
        <f t="shared" si="34"/>
        <v>-287809.02</v>
      </c>
      <c r="J106" s="36">
        <f t="shared" si="36"/>
        <v>43.21945093075357</v>
      </c>
      <c r="K106" s="36">
        <f>F106-237104</f>
        <v>-18033.420000000042</v>
      </c>
      <c r="L106" s="136">
        <f>F106/237104</f>
        <v>0.9239429954787771</v>
      </c>
      <c r="M106" s="22">
        <f>M8+M74+M104+M105</f>
        <v>43098.97</v>
      </c>
      <c r="N106" s="22">
        <f>N8+N74+N104+N105</f>
        <v>28905.380000000016</v>
      </c>
      <c r="O106" s="55">
        <f t="shared" si="35"/>
        <v>-14193.589999999986</v>
      </c>
      <c r="P106" s="36">
        <f>N106/M106*100</f>
        <v>67.0674496397478</v>
      </c>
      <c r="Q106" s="36">
        <f>N106-42414.8</f>
        <v>-13509.419999999987</v>
      </c>
      <c r="R106" s="136">
        <f>N106/42414.8</f>
        <v>0.681492780821789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191020.8</v>
      </c>
      <c r="F107" s="71">
        <f>F10-F18+F96</f>
        <v>174315.12000000002</v>
      </c>
      <c r="G107" s="71">
        <f>G10-G18+G96</f>
        <v>-16705.679999999975</v>
      </c>
      <c r="H107" s="72">
        <f>F107/E107*100</f>
        <v>91.25452306764501</v>
      </c>
      <c r="I107" s="52">
        <f t="shared" si="34"/>
        <v>-213898.08</v>
      </c>
      <c r="J107" s="52">
        <f t="shared" si="36"/>
        <v>44.90190441746958</v>
      </c>
      <c r="K107" s="52">
        <f>F107-179685.8</f>
        <v>-5370.679999999964</v>
      </c>
      <c r="L107" s="137">
        <f>F107/179685.8</f>
        <v>0.9701107154822476</v>
      </c>
      <c r="M107" s="71">
        <f>M10-M18+M96</f>
        <v>34534.5</v>
      </c>
      <c r="N107" s="71">
        <f>N10-N18+N96</f>
        <v>25203.99000000002</v>
      </c>
      <c r="O107" s="53">
        <f t="shared" si="35"/>
        <v>-9330.50999999998</v>
      </c>
      <c r="P107" s="52">
        <f>N107/M107*100</f>
        <v>72.98206141684408</v>
      </c>
      <c r="Q107" s="52">
        <f>N107-33396.9</f>
        <v>-8192.909999999982</v>
      </c>
      <c r="R107" s="137">
        <f>N107/33396.9</f>
        <v>0.7546805242402743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49689.43000000002</v>
      </c>
      <c r="F108" s="71">
        <f>F106-F107</f>
        <v>44755.459999999934</v>
      </c>
      <c r="G108" s="62">
        <f>F108-E108</f>
        <v>-4933.9700000000885</v>
      </c>
      <c r="H108" s="72">
        <f>F108/E108*100</f>
        <v>90.0703831780721</v>
      </c>
      <c r="I108" s="52">
        <f t="shared" si="34"/>
        <v>-73910.94000000003</v>
      </c>
      <c r="J108" s="52">
        <f t="shared" si="36"/>
        <v>37.715360034516884</v>
      </c>
      <c r="K108" s="52">
        <f>F108-57418.1</f>
        <v>-12662.640000000065</v>
      </c>
      <c r="L108" s="137">
        <f>F108/57418.1</f>
        <v>0.7794660568705676</v>
      </c>
      <c r="M108" s="71">
        <f>M106-M107</f>
        <v>8564.470000000001</v>
      </c>
      <c r="N108" s="71">
        <f>N106-N107</f>
        <v>3701.389999999996</v>
      </c>
      <c r="O108" s="53">
        <f t="shared" si="35"/>
        <v>-4863.080000000005</v>
      </c>
      <c r="P108" s="52">
        <f>N108/M108*100</f>
        <v>43.21796912126489</v>
      </c>
      <c r="Q108" s="52">
        <f>N108-9017.9</f>
        <v>-5316.510000000004</v>
      </c>
      <c r="R108" s="137">
        <f>N108/9017.9</f>
        <v>0.4104492176670839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185650.9</v>
      </c>
      <c r="F109" s="71">
        <f>F107</f>
        <v>174315.12000000002</v>
      </c>
      <c r="G109" s="111">
        <f>F109-E109</f>
        <v>-11335.77999999997</v>
      </c>
      <c r="H109" s="72">
        <f>F109/E109*100</f>
        <v>93.8940344485268</v>
      </c>
      <c r="I109" s="81">
        <f t="shared" si="34"/>
        <v>-213898.08</v>
      </c>
      <c r="J109" s="52">
        <f t="shared" si="36"/>
        <v>44.90190441746958</v>
      </c>
      <c r="K109" s="52"/>
      <c r="L109" s="137"/>
      <c r="M109" s="72">
        <f>E109-травень!E109</f>
        <v>34534.5</v>
      </c>
      <c r="N109" s="71">
        <f>N107</f>
        <v>25203.99000000002</v>
      </c>
      <c r="O109" s="118">
        <f t="shared" si="35"/>
        <v>-9330.50999999998</v>
      </c>
      <c r="P109" s="52">
        <f>N109/M109*100</f>
        <v>72.98206141684408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245</v>
      </c>
      <c r="C111" s="93"/>
      <c r="D111" s="84"/>
      <c r="E111" s="111">
        <f>0-травень!G109</f>
        <v>2005.2699999999895</v>
      </c>
      <c r="F111" s="84">
        <v>0</v>
      </c>
      <c r="G111" s="62">
        <f>F111-E111</f>
        <v>-2005.2699999999895</v>
      </c>
      <c r="H111" s="72"/>
      <c r="I111" s="85"/>
      <c r="J111" s="52"/>
      <c r="K111" s="52"/>
      <c r="L111" s="137"/>
      <c r="M111" s="159">
        <f>E111</f>
        <v>2005.2699999999895</v>
      </c>
      <c r="N111" s="84">
        <v>0</v>
      </c>
      <c r="O111" s="118">
        <f>N111-M111</f>
        <v>-2005.2699999999895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F113-7.8</f>
        <v>-8.94</v>
      </c>
      <c r="L113" s="138">
        <f>F113/7.8</f>
        <v>-0.14615384615384613</v>
      </c>
      <c r="M113" s="40">
        <f>E113-травень!E113</f>
        <v>0</v>
      </c>
      <c r="N113" s="40">
        <f>F113-травень!F113</f>
        <v>0</v>
      </c>
      <c r="O113" s="53"/>
      <c r="P113" s="60"/>
      <c r="Q113" s="60">
        <f>N113-1.1</f>
        <v>-1.1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1697.1</v>
      </c>
      <c r="F114" s="32">
        <v>572.48</v>
      </c>
      <c r="G114" s="49">
        <f t="shared" si="37"/>
        <v>-1124.62</v>
      </c>
      <c r="H114" s="40">
        <f aca="true" t="shared" si="39" ref="H114:H125">F114/E114*100</f>
        <v>33.73283837133935</v>
      </c>
      <c r="I114" s="60">
        <f t="shared" si="38"/>
        <v>-3099.02</v>
      </c>
      <c r="J114" s="60">
        <f aca="true" t="shared" si="40" ref="J114:J120">F114/D114*100</f>
        <v>15.592537110172955</v>
      </c>
      <c r="K114" s="60">
        <f>F114-1891.5</f>
        <v>-1319.02</v>
      </c>
      <c r="L114" s="138">
        <f>F114/1891.5</f>
        <v>0.30265926513349195</v>
      </c>
      <c r="M114" s="40">
        <f>E114-травень!E114</f>
        <v>327.5</v>
      </c>
      <c r="N114" s="40">
        <f>F114-травень!F114</f>
        <v>72.72000000000003</v>
      </c>
      <c r="O114" s="53">
        <f aca="true" t="shared" si="41" ref="O114:O125">N114-M114</f>
        <v>-254.77999999999997</v>
      </c>
      <c r="P114" s="60">
        <f>N114/M114*100</f>
        <v>22.204580152671763</v>
      </c>
      <c r="Q114" s="60">
        <f>N114-276.6</f>
        <v>-203.88</v>
      </c>
      <c r="R114" s="138">
        <f>N114/276.6</f>
        <v>0.26290672451193065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134.5</v>
      </c>
      <c r="F115" s="32">
        <v>165.47</v>
      </c>
      <c r="G115" s="49">
        <f t="shared" si="37"/>
        <v>30.97</v>
      </c>
      <c r="H115" s="40">
        <f t="shared" si="39"/>
        <v>123.02602230483271</v>
      </c>
      <c r="I115" s="60">
        <f t="shared" si="38"/>
        <v>-102.63000000000002</v>
      </c>
      <c r="J115" s="60">
        <f t="shared" si="40"/>
        <v>61.719507646400594</v>
      </c>
      <c r="K115" s="60">
        <f>F115-131.2</f>
        <v>34.27000000000001</v>
      </c>
      <c r="L115" s="138">
        <f>F115/131.2</f>
        <v>1.261204268292683</v>
      </c>
      <c r="M115" s="40">
        <f>E115-травень!E115</f>
        <v>22</v>
      </c>
      <c r="N115" s="40">
        <f>F115-травень!F115</f>
        <v>45.92999999999999</v>
      </c>
      <c r="O115" s="53">
        <f t="shared" si="41"/>
        <v>23.929999999999993</v>
      </c>
      <c r="P115" s="60">
        <f>N115/M115*100</f>
        <v>208.77272727272725</v>
      </c>
      <c r="Q115" s="60">
        <f>N115-25.8</f>
        <v>20.129999999999992</v>
      </c>
      <c r="R115" s="138">
        <f>N115/25.8</f>
        <v>1.7802325581395346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1831.6</v>
      </c>
      <c r="F116" s="38">
        <f>SUM(F113:F115)</f>
        <v>736.8100000000001</v>
      </c>
      <c r="G116" s="62">
        <f t="shared" si="37"/>
        <v>-1094.79</v>
      </c>
      <c r="H116" s="72">
        <f t="shared" si="39"/>
        <v>40.227669796898894</v>
      </c>
      <c r="I116" s="61">
        <f t="shared" si="38"/>
        <v>-3202.79</v>
      </c>
      <c r="J116" s="61">
        <f t="shared" si="40"/>
        <v>18.702660168545034</v>
      </c>
      <c r="K116" s="61">
        <f>F116-2030.5</f>
        <v>-1293.69</v>
      </c>
      <c r="L116" s="139">
        <f>F116/2030.5</f>
        <v>0.3628712139867028</v>
      </c>
      <c r="M116" s="62">
        <f>M114+M115+M113</f>
        <v>349.5</v>
      </c>
      <c r="N116" s="38">
        <f>SUM(N113:N115)</f>
        <v>118.65000000000002</v>
      </c>
      <c r="O116" s="61">
        <f t="shared" si="41"/>
        <v>-230.84999999999997</v>
      </c>
      <c r="P116" s="61">
        <f>N116/M116*100</f>
        <v>33.94849785407726</v>
      </c>
      <c r="Q116" s="61">
        <f>N116-303.5</f>
        <v>-184.84999999999997</v>
      </c>
      <c r="R116" s="139">
        <f>N116/303.5</f>
        <v>0.39093904448105443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109.5</v>
      </c>
      <c r="F118" s="33">
        <v>133.93</v>
      </c>
      <c r="G118" s="49">
        <f t="shared" si="37"/>
        <v>24.430000000000007</v>
      </c>
      <c r="H118" s="40">
        <f t="shared" si="39"/>
        <v>122.31050228310502</v>
      </c>
      <c r="I118" s="60">
        <f t="shared" si="38"/>
        <v>-133.26999999999998</v>
      </c>
      <c r="J118" s="60">
        <f t="shared" si="40"/>
        <v>50.12350299401198</v>
      </c>
      <c r="K118" s="60">
        <f>F118-95.9</f>
        <v>38.03</v>
      </c>
      <c r="L118" s="138">
        <f>F118/95.9</f>
        <v>1.3965589155370177</v>
      </c>
      <c r="M118" s="40">
        <f>E118-травень!E118</f>
        <v>3</v>
      </c>
      <c r="N118" s="40">
        <f>F118-травень!F118</f>
        <v>4.180000000000007</v>
      </c>
      <c r="O118" s="53">
        <f>N118-M118</f>
        <v>1.1800000000000068</v>
      </c>
      <c r="P118" s="60">
        <f>N118/M118*100</f>
        <v>139.33333333333354</v>
      </c>
      <c r="Q118" s="60">
        <f>N118-7.4</f>
        <v>-3.2199999999999935</v>
      </c>
      <c r="R118" s="138">
        <f>N118/7.4</f>
        <v>0.5648648648648658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34212.6</v>
      </c>
      <c r="F119" s="33">
        <v>37702.42</v>
      </c>
      <c r="G119" s="49">
        <f t="shared" si="37"/>
        <v>3489.8199999999997</v>
      </c>
      <c r="H119" s="40">
        <f t="shared" si="39"/>
        <v>110.20039400688634</v>
      </c>
      <c r="I119" s="53">
        <f t="shared" si="38"/>
        <v>-34273.57000000001</v>
      </c>
      <c r="J119" s="60">
        <f t="shared" si="40"/>
        <v>52.38194014420642</v>
      </c>
      <c r="K119" s="60">
        <f>F119-32510.8</f>
        <v>5191.619999999999</v>
      </c>
      <c r="L119" s="138">
        <f>F119/32510.8</f>
        <v>1.1596890879338557</v>
      </c>
      <c r="M119" s="40">
        <f>E119-травень!E119</f>
        <v>2600</v>
      </c>
      <c r="N119" s="40">
        <f>F119-травень!F119</f>
        <v>2528.199999999997</v>
      </c>
      <c r="O119" s="53">
        <f t="shared" si="41"/>
        <v>-71.80000000000291</v>
      </c>
      <c r="P119" s="60">
        <f aca="true" t="shared" si="42" ref="P119:P124">N119/M119*100</f>
        <v>97.23846153846142</v>
      </c>
      <c r="Q119" s="60">
        <v>2488.2</v>
      </c>
      <c r="R119" s="138">
        <f>N119/2488.2</f>
        <v>1.0160758781448425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1667</v>
      </c>
      <c r="F120" s="33">
        <v>1658.92</v>
      </c>
      <c r="G120" s="49">
        <f t="shared" si="37"/>
        <v>-8.079999999999927</v>
      </c>
      <c r="H120" s="40">
        <f t="shared" si="39"/>
        <v>99.51529694061189</v>
      </c>
      <c r="I120" s="60">
        <f t="shared" si="38"/>
        <v>-8341.08</v>
      </c>
      <c r="J120" s="60">
        <f t="shared" si="40"/>
        <v>16.5892</v>
      </c>
      <c r="K120" s="60">
        <f>F120-624.6</f>
        <v>1034.3200000000002</v>
      </c>
      <c r="L120" s="138">
        <f>F120/624.6</f>
        <v>2.6559718219660584</v>
      </c>
      <c r="M120" s="40">
        <f>E120-травень!E120</f>
        <v>19</v>
      </c>
      <c r="N120" s="40">
        <f>F120-травень!F120</f>
        <v>46.99000000000001</v>
      </c>
      <c r="O120" s="53">
        <f t="shared" si="41"/>
        <v>27.99000000000001</v>
      </c>
      <c r="P120" s="60">
        <f t="shared" si="42"/>
        <v>247.31578947368425</v>
      </c>
      <c r="Q120" s="60">
        <f>N120-188.5</f>
        <v>-141.51</v>
      </c>
      <c r="R120" s="138">
        <f>N120/188.5</f>
        <v>0.24928381962864726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4822.6</v>
      </c>
      <c r="F121" s="33">
        <v>2099.7</v>
      </c>
      <c r="G121" s="49">
        <f t="shared" si="37"/>
        <v>-2722.9000000000005</v>
      </c>
      <c r="H121" s="40">
        <f t="shared" si="39"/>
        <v>43.538755028407905</v>
      </c>
      <c r="I121" s="60">
        <f t="shared" si="38"/>
        <v>-20978.3</v>
      </c>
      <c r="J121" s="60">
        <f>F121/D121*100</f>
        <v>9.09827541381402</v>
      </c>
      <c r="K121" s="60">
        <f>F121-13847.9</f>
        <v>-11748.2</v>
      </c>
      <c r="L121" s="138">
        <f>F121/13847.9</f>
        <v>0.15162587829201538</v>
      </c>
      <c r="M121" s="40">
        <f>E121-травень!E121</f>
        <v>1767.2000000000003</v>
      </c>
      <c r="N121" s="40">
        <f>F121-травень!F121</f>
        <v>28.949999999999818</v>
      </c>
      <c r="O121" s="53">
        <f t="shared" si="41"/>
        <v>-1738.2500000000005</v>
      </c>
      <c r="P121" s="60">
        <f t="shared" si="42"/>
        <v>1.6381846989587945</v>
      </c>
      <c r="Q121" s="60">
        <f>N121-6379.2</f>
        <v>-6350.25</v>
      </c>
      <c r="R121" s="138">
        <f>N121/6379.2</f>
        <v>0.004538186606471002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862.45</v>
      </c>
      <c r="F122" s="33">
        <v>703.1</v>
      </c>
      <c r="G122" s="49">
        <f t="shared" si="37"/>
        <v>-159.35000000000002</v>
      </c>
      <c r="H122" s="40">
        <f t="shared" si="39"/>
        <v>81.52356658357006</v>
      </c>
      <c r="I122" s="60">
        <f t="shared" si="38"/>
        <v>-1296.9</v>
      </c>
      <c r="J122" s="60">
        <f>F122/D122*100</f>
        <v>35.155</v>
      </c>
      <c r="K122" s="60">
        <f>F122-1200</f>
        <v>-496.9</v>
      </c>
      <c r="L122" s="138">
        <f>F122/1200</f>
        <v>0.5859166666666666</v>
      </c>
      <c r="M122" s="40">
        <f>E122-травень!E122</f>
        <v>189.59000000000003</v>
      </c>
      <c r="N122" s="40">
        <f>F122-травень!F122</f>
        <v>2.310000000000059</v>
      </c>
      <c r="O122" s="53">
        <f t="shared" si="41"/>
        <v>-187.27999999999997</v>
      </c>
      <c r="P122" s="60">
        <f t="shared" si="42"/>
        <v>1.2184186929690695</v>
      </c>
      <c r="Q122" s="60">
        <f>N122-0</f>
        <v>2.310000000000059</v>
      </c>
      <c r="R122" s="138" t="e">
        <f>N122/0</f>
        <v>#DIV/0!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41674.149999999994</v>
      </c>
      <c r="F123" s="38">
        <f>F119+F120+F121+F122+F118</f>
        <v>42298.06999999999</v>
      </c>
      <c r="G123" s="62">
        <f t="shared" si="37"/>
        <v>623.9199999999983</v>
      </c>
      <c r="H123" s="72">
        <f t="shared" si="39"/>
        <v>101.49713911381515</v>
      </c>
      <c r="I123" s="61">
        <f t="shared" si="38"/>
        <v>-65023.12000000001</v>
      </c>
      <c r="J123" s="61">
        <f>F123/D123*100</f>
        <v>39.41259876078526</v>
      </c>
      <c r="K123" s="61">
        <f>F123-48279.1</f>
        <v>-5981.030000000006</v>
      </c>
      <c r="L123" s="139">
        <f>F123/48279.1</f>
        <v>0.8761155448216722</v>
      </c>
      <c r="M123" s="62">
        <f>M119+M120+M121+M122+M118</f>
        <v>4578.790000000001</v>
      </c>
      <c r="N123" s="62">
        <f>N119+N120+N121+N122+N118</f>
        <v>2610.6299999999965</v>
      </c>
      <c r="O123" s="61">
        <f t="shared" si="41"/>
        <v>-1968.1600000000044</v>
      </c>
      <c r="P123" s="61">
        <f t="shared" si="42"/>
        <v>57.015718126404494</v>
      </c>
      <c r="Q123" s="61">
        <f>N123-9063.3</f>
        <v>-6452.670000000003</v>
      </c>
      <c r="R123" s="139">
        <f>N123/9063.3</f>
        <v>0.2880440899010291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17.16</v>
      </c>
      <c r="F124" s="33">
        <v>12.71</v>
      </c>
      <c r="G124" s="49">
        <f t="shared" si="37"/>
        <v>-4.449999999999999</v>
      </c>
      <c r="H124" s="40">
        <f t="shared" si="39"/>
        <v>74.06759906759908</v>
      </c>
      <c r="I124" s="60">
        <f t="shared" si="38"/>
        <v>-30.79</v>
      </c>
      <c r="J124" s="60">
        <f>F124/D124*100</f>
        <v>29.218390804597703</v>
      </c>
      <c r="K124" s="60">
        <f>F124-100.8</f>
        <v>-88.09</v>
      </c>
      <c r="L124" s="138">
        <f>F124/100.8</f>
        <v>0.12609126984126987</v>
      </c>
      <c r="M124" s="40">
        <f>E124-травень!E124</f>
        <v>3</v>
      </c>
      <c r="N124" s="40">
        <f>F124-травень!F124</f>
        <v>2</v>
      </c>
      <c r="O124" s="53">
        <f t="shared" si="41"/>
        <v>-1</v>
      </c>
      <c r="P124" s="60">
        <f t="shared" si="42"/>
        <v>66.66666666666666</v>
      </c>
      <c r="Q124" s="60">
        <f>N124-1.6</f>
        <v>0.3999999999999999</v>
      </c>
      <c r="R124" s="138">
        <f>N124/1.6</f>
        <v>1.25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E125-травень!E125</f>
        <v>0</v>
      </c>
      <c r="N125" s="40">
        <f>F125-травень!F125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E126-травень!E126</f>
        <v>0</v>
      </c>
      <c r="N126" s="40">
        <f>F126-травень!F126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5012.5</v>
      </c>
      <c r="F127" s="33">
        <v>5295.56</v>
      </c>
      <c r="G127" s="49">
        <f aca="true" t="shared" si="43" ref="G127:G134">F127-E127</f>
        <v>283.0600000000004</v>
      </c>
      <c r="H127" s="40">
        <f>F127/E127*100</f>
        <v>105.64708229426434</v>
      </c>
      <c r="I127" s="60">
        <f aca="true" t="shared" si="44" ref="I127:I134">F127-D127</f>
        <v>-3404.4399999999996</v>
      </c>
      <c r="J127" s="60">
        <f>F127/D127*100</f>
        <v>60.86850574712644</v>
      </c>
      <c r="K127" s="60">
        <f>F127-6301.4</f>
        <v>-1005.8399999999992</v>
      </c>
      <c r="L127" s="138">
        <f>F127/6301.4</f>
        <v>0.840378328625385</v>
      </c>
      <c r="M127" s="40">
        <f>E127-травень!E127</f>
        <v>1</v>
      </c>
      <c r="N127" s="40">
        <f>F127-травень!F127</f>
        <v>2.7000000000007276</v>
      </c>
      <c r="O127" s="53">
        <f aca="true" t="shared" si="45" ref="O127:O134">N127-M127</f>
        <v>1.7000000000007276</v>
      </c>
      <c r="P127" s="60">
        <f>N127/M127*100</f>
        <v>270.00000000007276</v>
      </c>
      <c r="Q127" s="60">
        <f>N127-12.3</f>
        <v>-9.599999999999273</v>
      </c>
      <c r="R127" s="162">
        <f>N127/12.3</f>
        <v>0.21951219512201037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F128-(-0.4)</f>
        <v>0.44</v>
      </c>
      <c r="L128" s="138">
        <f>F128/(-0.4)</f>
        <v>-0.09999999999999999</v>
      </c>
      <c r="M128" s="40">
        <f>E128-травень!E128</f>
        <v>0</v>
      </c>
      <c r="N128" s="40">
        <f>F128-травень!F128</f>
        <v>0</v>
      </c>
      <c r="O128" s="53">
        <f t="shared" si="45"/>
        <v>0</v>
      </c>
      <c r="P128" s="60"/>
      <c r="Q128" s="60">
        <f>N128-0.1</f>
        <v>-0.1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5036.86</v>
      </c>
      <c r="F129" s="38">
        <f>F127+F124+F128+F126</f>
        <v>5326.070000000001</v>
      </c>
      <c r="G129" s="62">
        <f t="shared" si="43"/>
        <v>289.21000000000095</v>
      </c>
      <c r="H129" s="72">
        <f>F129/E129*100</f>
        <v>105.74187092752231</v>
      </c>
      <c r="I129" s="61">
        <f t="shared" si="44"/>
        <v>-3424.63</v>
      </c>
      <c r="J129" s="61">
        <f>F129/D129*100</f>
        <v>60.86450226838996</v>
      </c>
      <c r="K129" s="61">
        <f>F129-6410.2</f>
        <v>-1084.1299999999992</v>
      </c>
      <c r="L129" s="139">
        <f>G129/6410.2</f>
        <v>0.04511715703098202</v>
      </c>
      <c r="M129" s="62">
        <f>M124+M127+M128+M126</f>
        <v>4</v>
      </c>
      <c r="N129" s="62">
        <f>N124+N127+N128+N126</f>
        <v>4.700000000000728</v>
      </c>
      <c r="O129" s="61">
        <f t="shared" si="45"/>
        <v>0.7000000000007276</v>
      </c>
      <c r="P129" s="61">
        <f>N129/M129*100</f>
        <v>117.50000000001819</v>
      </c>
      <c r="Q129" s="61">
        <f>N129-14</f>
        <v>-9.299999999999272</v>
      </c>
      <c r="R129" s="137">
        <f>N129/14</f>
        <v>0.3357142857143377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15.65</v>
      </c>
      <c r="F130" s="33">
        <v>15.04</v>
      </c>
      <c r="G130" s="49">
        <f>F130-E130</f>
        <v>-0.6100000000000012</v>
      </c>
      <c r="H130" s="40">
        <f>F130/E130*100</f>
        <v>96.10223642172522</v>
      </c>
      <c r="I130" s="60">
        <f>F130-D130</f>
        <v>-14.96</v>
      </c>
      <c r="J130" s="60">
        <f>F130/D130*100</f>
        <v>50.13333333333333</v>
      </c>
      <c r="K130" s="60">
        <f>F130-16.8</f>
        <v>-1.7600000000000016</v>
      </c>
      <c r="L130" s="138">
        <f>F130/16.8</f>
        <v>0.8952380952380952</v>
      </c>
      <c r="M130" s="40">
        <f>E130-травень!E130</f>
        <v>7</v>
      </c>
      <c r="N130" s="40">
        <f>F130-травень!F130</f>
        <v>1.8899999999999988</v>
      </c>
      <c r="O130" s="53">
        <f>N130-M130</f>
        <v>-5.110000000000001</v>
      </c>
      <c r="P130" s="60">
        <f>N130/M130*100</f>
        <v>26.999999999999986</v>
      </c>
      <c r="Q130" s="60">
        <f>N130-7.5</f>
        <v>-5.610000000000001</v>
      </c>
      <c r="R130" s="138">
        <f>N130/7.5</f>
        <v>0.25199999999999984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E131-травень!E131</f>
        <v>0</v>
      </c>
      <c r="N131" s="40">
        <f>F131-травень!F131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E132-травень!E132</f>
        <v>0</v>
      </c>
      <c r="N132" s="40">
        <f>F132-травень!F132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48558.259999999995</v>
      </c>
      <c r="F133" s="31">
        <f>F116+F130+F123+F129+F132+F131</f>
        <v>48375.98999999999</v>
      </c>
      <c r="G133" s="50">
        <f t="shared" si="43"/>
        <v>-182.27000000000407</v>
      </c>
      <c r="H133" s="51">
        <f>F133/E133*100</f>
        <v>99.62463646761643</v>
      </c>
      <c r="I133" s="36">
        <f t="shared" si="44"/>
        <v>-71665.50000000001</v>
      </c>
      <c r="J133" s="36">
        <f>F133/D133*100</f>
        <v>40.29939148539391</v>
      </c>
      <c r="K133" s="36">
        <f>F133-56736.6</f>
        <v>-8360.610000000008</v>
      </c>
      <c r="L133" s="136">
        <f>F133/56736.6</f>
        <v>0.8526416810312918</v>
      </c>
      <c r="M133" s="31">
        <f>M116+M130+M123+M129+M132+M131</f>
        <v>4939.290000000001</v>
      </c>
      <c r="N133" s="31">
        <f>N116+N130+N123+N129+N132+N131</f>
        <v>2735.869999999997</v>
      </c>
      <c r="O133" s="36">
        <f t="shared" si="45"/>
        <v>-2203.4200000000037</v>
      </c>
      <c r="P133" s="36">
        <f>N133/M133*100</f>
        <v>55.38994470865239</v>
      </c>
      <c r="Q133" s="36">
        <f>N133-9388.2</f>
        <v>-6652.330000000004</v>
      </c>
      <c r="R133" s="136">
        <f>N133/9388.2</f>
        <v>0.2914158198589716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289268.49</v>
      </c>
      <c r="F134" s="31">
        <f>F106+F133</f>
        <v>267446.56999999995</v>
      </c>
      <c r="G134" s="50">
        <f t="shared" si="43"/>
        <v>-21821.920000000042</v>
      </c>
      <c r="H134" s="51">
        <f>F134/E134*100</f>
        <v>92.45617108175175</v>
      </c>
      <c r="I134" s="36">
        <f t="shared" si="44"/>
        <v>-359474.52</v>
      </c>
      <c r="J134" s="36">
        <f>F134/D134*100</f>
        <v>42.6603242841934</v>
      </c>
      <c r="K134" s="36">
        <f>F134-293840.6</f>
        <v>-26394.030000000028</v>
      </c>
      <c r="L134" s="136">
        <f>F134/293840.6</f>
        <v>0.9101756870902113</v>
      </c>
      <c r="M134" s="22">
        <f>M106+M133</f>
        <v>48038.26</v>
      </c>
      <c r="N134" s="22">
        <f>N106+N133</f>
        <v>31641.250000000015</v>
      </c>
      <c r="O134" s="36">
        <f t="shared" si="45"/>
        <v>-16397.009999999987</v>
      </c>
      <c r="P134" s="36">
        <f>N134/M134*100</f>
        <v>65.8667695291212</v>
      </c>
      <c r="Q134" s="36">
        <f>N134-51803</f>
        <v>-20161.749999999985</v>
      </c>
      <c r="R134" s="136">
        <f>N134/51803</f>
        <v>0.6107995675926108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4</v>
      </c>
      <c r="D136" s="4" t="s">
        <v>118</v>
      </c>
    </row>
    <row r="137" spans="2:17" ht="31.5">
      <c r="B137" s="78" t="s">
        <v>154</v>
      </c>
      <c r="C137" s="39">
        <f>IF(O106&lt;0,ABS(O106/C136),0)</f>
        <v>3548.3974999999964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41813</v>
      </c>
      <c r="D138" s="39">
        <v>2011.5</v>
      </c>
      <c r="N138" s="177"/>
      <c r="O138" s="177"/>
    </row>
    <row r="139" spans="3:15" ht="15.75">
      <c r="C139" s="120">
        <v>41810</v>
      </c>
      <c r="D139" s="39">
        <v>3522.4</v>
      </c>
      <c r="F139" s="4" t="s">
        <v>166</v>
      </c>
      <c r="G139" s="173" t="s">
        <v>151</v>
      </c>
      <c r="H139" s="173"/>
      <c r="I139" s="115">
        <f>'[1]залишки  (2)'!$G$9/1000</f>
        <v>13825.22196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41809</v>
      </c>
      <c r="D140" s="39">
        <v>1690.3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f>'[1]залишки  (2)'!$G$8/1000</f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f>'[1]залишки  (2)'!$G$6/1000</f>
        <v>119378.86701999999</v>
      </c>
      <c r="E142" s="80"/>
      <c r="F142" s="100" t="s">
        <v>147</v>
      </c>
      <c r="G142" s="173" t="s">
        <v>149</v>
      </c>
      <c r="H142" s="173"/>
      <c r="I142" s="116">
        <f>'[1]залишки  (2)'!$G$10/1000</f>
        <v>105553.64506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f>'[1]надх'!$B$52/1000</f>
        <v>27606.29359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118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27" sqref="E12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1" t="s">
        <v>235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197" t="s">
        <v>224</v>
      </c>
      <c r="E3" s="197"/>
      <c r="F3" s="198" t="s">
        <v>107</v>
      </c>
      <c r="G3" s="199"/>
      <c r="H3" s="199"/>
      <c r="I3" s="199"/>
      <c r="J3" s="199"/>
      <c r="K3" s="199"/>
      <c r="L3" s="200"/>
      <c r="M3" s="201" t="s">
        <v>225</v>
      </c>
      <c r="N3" s="203" t="s">
        <v>233</v>
      </c>
      <c r="O3" s="203"/>
      <c r="P3" s="203"/>
      <c r="Q3" s="203"/>
      <c r="R3" s="203"/>
    </row>
    <row r="4" spans="1:18" ht="22.5" customHeight="1">
      <c r="A4" s="193"/>
      <c r="B4" s="195"/>
      <c r="C4" s="196"/>
      <c r="D4" s="197"/>
      <c r="E4" s="197"/>
      <c r="F4" s="204" t="s">
        <v>116</v>
      </c>
      <c r="G4" s="185" t="s">
        <v>229</v>
      </c>
      <c r="H4" s="187" t="s">
        <v>230</v>
      </c>
      <c r="I4" s="183" t="s">
        <v>188</v>
      </c>
      <c r="J4" s="189" t="s">
        <v>189</v>
      </c>
      <c r="K4" s="178" t="s">
        <v>231</v>
      </c>
      <c r="L4" s="179"/>
      <c r="M4" s="202"/>
      <c r="N4" s="181" t="s">
        <v>236</v>
      </c>
      <c r="O4" s="183" t="s">
        <v>136</v>
      </c>
      <c r="P4" s="183" t="s">
        <v>135</v>
      </c>
      <c r="Q4" s="178" t="s">
        <v>234</v>
      </c>
      <c r="R4" s="179"/>
    </row>
    <row r="5" spans="1:18" ht="82.5" customHeight="1">
      <c r="A5" s="194"/>
      <c r="B5" s="195"/>
      <c r="C5" s="196"/>
      <c r="D5" s="150" t="s">
        <v>209</v>
      </c>
      <c r="E5" s="158" t="s">
        <v>228</v>
      </c>
      <c r="F5" s="205"/>
      <c r="G5" s="186"/>
      <c r="H5" s="188"/>
      <c r="I5" s="184"/>
      <c r="J5" s="190"/>
      <c r="K5" s="165"/>
      <c r="L5" s="166"/>
      <c r="M5" s="151" t="s">
        <v>232</v>
      </c>
      <c r="N5" s="182"/>
      <c r="O5" s="184"/>
      <c r="P5" s="184"/>
      <c r="Q5" s="165"/>
      <c r="R5" s="166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291.2</v>
      </c>
      <c r="G102" s="144"/>
      <c r="H102" s="146"/>
      <c r="I102" s="145"/>
      <c r="J102" s="145"/>
      <c r="K102" s="148">
        <f>F102-184.7</f>
        <v>106.5</v>
      </c>
      <c r="L102" s="149">
        <f>F102/184.7</f>
        <v>1.576610720086627</v>
      </c>
      <c r="M102" s="40">
        <f>E102-квітень!E102</f>
        <v>0</v>
      </c>
      <c r="N102" s="40">
        <f>F102-квітень!F102</f>
        <v>55.79999999999998</v>
      </c>
      <c r="O102" s="53"/>
      <c r="P102" s="60"/>
      <c r="Q102" s="60">
        <f>N102-45.1</f>
        <v>10.699999999999982</v>
      </c>
      <c r="R102" s="138">
        <f>N102/45.1</f>
        <v>1.2372505543237247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77"/>
      <c r="O138" s="177"/>
    </row>
    <row r="139" spans="3:15" ht="15.75">
      <c r="C139" s="120">
        <v>41788</v>
      </c>
      <c r="D139" s="39">
        <v>5993.3</v>
      </c>
      <c r="F139" s="4" t="s">
        <v>166</v>
      </c>
      <c r="G139" s="173" t="s">
        <v>151</v>
      </c>
      <c r="H139" s="173"/>
      <c r="I139" s="115">
        <v>13825.22196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41787</v>
      </c>
      <c r="D140" s="39">
        <v>2595.2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v>118982.48</v>
      </c>
      <c r="E142" s="80"/>
      <c r="F142" s="100" t="s">
        <v>147</v>
      </c>
      <c r="G142" s="173" t="s">
        <v>149</v>
      </c>
      <c r="H142" s="173"/>
      <c r="I142" s="116">
        <v>105157.26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v>27359.4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11" sqref="G11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1" t="s">
        <v>226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197" t="s">
        <v>224</v>
      </c>
      <c r="E3" s="197"/>
      <c r="F3" s="198" t="s">
        <v>107</v>
      </c>
      <c r="G3" s="199"/>
      <c r="H3" s="199"/>
      <c r="I3" s="199"/>
      <c r="J3" s="199"/>
      <c r="K3" s="199"/>
      <c r="L3" s="200"/>
      <c r="M3" s="201" t="s">
        <v>225</v>
      </c>
      <c r="N3" s="203" t="s">
        <v>221</v>
      </c>
      <c r="O3" s="203"/>
      <c r="P3" s="203"/>
      <c r="Q3" s="203"/>
      <c r="R3" s="203"/>
    </row>
    <row r="4" spans="1:18" ht="22.5" customHeight="1">
      <c r="A4" s="193"/>
      <c r="B4" s="195"/>
      <c r="C4" s="196"/>
      <c r="D4" s="197"/>
      <c r="E4" s="197"/>
      <c r="F4" s="204" t="s">
        <v>116</v>
      </c>
      <c r="G4" s="185" t="s">
        <v>217</v>
      </c>
      <c r="H4" s="187" t="s">
        <v>218</v>
      </c>
      <c r="I4" s="183" t="s">
        <v>188</v>
      </c>
      <c r="J4" s="189" t="s">
        <v>189</v>
      </c>
      <c r="K4" s="178" t="s">
        <v>219</v>
      </c>
      <c r="L4" s="179"/>
      <c r="M4" s="202"/>
      <c r="N4" s="181" t="s">
        <v>227</v>
      </c>
      <c r="O4" s="183" t="s">
        <v>136</v>
      </c>
      <c r="P4" s="183" t="s">
        <v>135</v>
      </c>
      <c r="Q4" s="178" t="s">
        <v>222</v>
      </c>
      <c r="R4" s="179"/>
    </row>
    <row r="5" spans="1:18" ht="82.5" customHeight="1">
      <c r="A5" s="194"/>
      <c r="B5" s="195"/>
      <c r="C5" s="196"/>
      <c r="D5" s="150" t="s">
        <v>209</v>
      </c>
      <c r="E5" s="158" t="s">
        <v>216</v>
      </c>
      <c r="F5" s="205"/>
      <c r="G5" s="186"/>
      <c r="H5" s="188"/>
      <c r="I5" s="184"/>
      <c r="J5" s="190"/>
      <c r="K5" s="165"/>
      <c r="L5" s="166"/>
      <c r="M5" s="151" t="s">
        <v>220</v>
      </c>
      <c r="N5" s="182"/>
      <c r="O5" s="184"/>
      <c r="P5" s="184"/>
      <c r="Q5" s="165"/>
      <c r="R5" s="166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235.4</v>
      </c>
      <c r="G102" s="144"/>
      <c r="H102" s="146"/>
      <c r="I102" s="145"/>
      <c r="J102" s="145"/>
      <c r="K102" s="148">
        <f>F102-139.6</f>
        <v>95.80000000000001</v>
      </c>
      <c r="L102" s="149">
        <f>F102/139.6</f>
        <v>1.686246418338109</v>
      </c>
      <c r="M102" s="40">
        <f>E102-березень!E102</f>
        <v>0</v>
      </c>
      <c r="N102" s="40">
        <f>F102-березень!F102</f>
        <v>62.80000000000001</v>
      </c>
      <c r="O102" s="53"/>
      <c r="P102" s="60"/>
      <c r="Q102" s="60">
        <f>N102-51</f>
        <v>11.800000000000011</v>
      </c>
      <c r="R102" s="138">
        <f>N102/51</f>
        <v>1.2313725490196081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77"/>
      <c r="O138" s="177"/>
    </row>
    <row r="139" spans="3:15" ht="15.75">
      <c r="C139" s="120">
        <v>41758</v>
      </c>
      <c r="D139" s="39">
        <v>5440.9</v>
      </c>
      <c r="F139" s="4" t="s">
        <v>166</v>
      </c>
      <c r="G139" s="173" t="s">
        <v>151</v>
      </c>
      <c r="H139" s="173"/>
      <c r="I139" s="115">
        <v>13825.22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41757</v>
      </c>
      <c r="D140" s="39">
        <v>1923.2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v>123251.48</v>
      </c>
      <c r="E142" s="80"/>
      <c r="F142" s="100" t="s">
        <v>147</v>
      </c>
      <c r="G142" s="173" t="s">
        <v>149</v>
      </c>
      <c r="H142" s="173"/>
      <c r="I142" s="116">
        <v>109426.25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f>'[1]надх'!$B$52/1000</f>
        <v>27606.29359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1" t="s">
        <v>212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197" t="s">
        <v>208</v>
      </c>
      <c r="E3" s="197"/>
      <c r="F3" s="198" t="s">
        <v>107</v>
      </c>
      <c r="G3" s="199"/>
      <c r="H3" s="199"/>
      <c r="I3" s="199"/>
      <c r="J3" s="199"/>
      <c r="K3" s="199"/>
      <c r="L3" s="200"/>
      <c r="M3" s="201" t="s">
        <v>210</v>
      </c>
      <c r="N3" s="203" t="s">
        <v>198</v>
      </c>
      <c r="O3" s="203"/>
      <c r="P3" s="203"/>
      <c r="Q3" s="203"/>
      <c r="R3" s="203"/>
    </row>
    <row r="4" spans="1:18" ht="22.5" customHeight="1">
      <c r="A4" s="193"/>
      <c r="B4" s="195"/>
      <c r="C4" s="196"/>
      <c r="D4" s="197"/>
      <c r="E4" s="197"/>
      <c r="F4" s="204" t="s">
        <v>116</v>
      </c>
      <c r="G4" s="185" t="s">
        <v>207</v>
      </c>
      <c r="H4" s="187" t="s">
        <v>195</v>
      </c>
      <c r="I4" s="183" t="s">
        <v>188</v>
      </c>
      <c r="J4" s="189" t="s">
        <v>189</v>
      </c>
      <c r="K4" s="178" t="s">
        <v>196</v>
      </c>
      <c r="L4" s="179"/>
      <c r="M4" s="202"/>
      <c r="N4" s="181" t="s">
        <v>213</v>
      </c>
      <c r="O4" s="183" t="s">
        <v>136</v>
      </c>
      <c r="P4" s="183" t="s">
        <v>135</v>
      </c>
      <c r="Q4" s="178" t="s">
        <v>197</v>
      </c>
      <c r="R4" s="179"/>
    </row>
    <row r="5" spans="1:18" ht="82.5" customHeight="1">
      <c r="A5" s="194"/>
      <c r="B5" s="195"/>
      <c r="C5" s="196"/>
      <c r="D5" s="150" t="s">
        <v>209</v>
      </c>
      <c r="E5" s="158" t="s">
        <v>214</v>
      </c>
      <c r="F5" s="205"/>
      <c r="G5" s="186"/>
      <c r="H5" s="188"/>
      <c r="I5" s="184"/>
      <c r="J5" s="190"/>
      <c r="K5" s="165"/>
      <c r="L5" s="166"/>
      <c r="M5" s="151" t="s">
        <v>211</v>
      </c>
      <c r="N5" s="182"/>
      <c r="O5" s="184"/>
      <c r="P5" s="184"/>
      <c r="Q5" s="165"/>
      <c r="R5" s="166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172.6</v>
      </c>
      <c r="G102" s="144"/>
      <c r="H102" s="146"/>
      <c r="I102" s="145"/>
      <c r="J102" s="145"/>
      <c r="K102" s="148">
        <f>F102-88.6</f>
        <v>84</v>
      </c>
      <c r="L102" s="149">
        <f>F102/88.6</f>
        <v>1.9480812641083523</v>
      </c>
      <c r="M102" s="40">
        <f>E102-лютий!E102</f>
        <v>0</v>
      </c>
      <c r="N102" s="40">
        <f>F102-лютий!F102</f>
        <v>42.5</v>
      </c>
      <c r="O102" s="53"/>
      <c r="P102" s="60"/>
      <c r="Q102" s="60">
        <f>N102-31.4</f>
        <v>11.100000000000001</v>
      </c>
      <c r="R102" s="135">
        <f>N102/31.4</f>
        <v>1.3535031847133758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77"/>
      <c r="O138" s="177"/>
    </row>
    <row r="139" spans="3:15" ht="15.75">
      <c r="C139" s="120">
        <v>41726</v>
      </c>
      <c r="D139" s="39">
        <v>4682.6</v>
      </c>
      <c r="F139" s="4" t="s">
        <v>166</v>
      </c>
      <c r="G139" s="173" t="s">
        <v>151</v>
      </c>
      <c r="H139" s="173"/>
      <c r="I139" s="115">
        <v>13825.22196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41725</v>
      </c>
      <c r="D140" s="39">
        <v>3360.7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v>114985.02570999999</v>
      </c>
      <c r="E142" s="80"/>
      <c r="F142" s="100" t="s">
        <v>147</v>
      </c>
      <c r="G142" s="173" t="s">
        <v>149</v>
      </c>
      <c r="H142" s="173"/>
      <c r="I142" s="116">
        <v>101159.80375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v>3918.1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22" sqref="E1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91" t="s">
        <v>193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215" t="s">
        <v>187</v>
      </c>
      <c r="E3" s="46"/>
      <c r="F3" s="216" t="s">
        <v>107</v>
      </c>
      <c r="G3" s="217"/>
      <c r="H3" s="217"/>
      <c r="I3" s="217"/>
      <c r="J3" s="218"/>
      <c r="K3" s="123"/>
      <c r="L3" s="123"/>
      <c r="M3" s="219" t="s">
        <v>190</v>
      </c>
      <c r="N3" s="210" t="s">
        <v>185</v>
      </c>
      <c r="O3" s="210"/>
      <c r="P3" s="210"/>
      <c r="Q3" s="210"/>
      <c r="R3" s="210"/>
    </row>
    <row r="4" spans="1:18" ht="22.5" customHeight="1">
      <c r="A4" s="193"/>
      <c r="B4" s="195"/>
      <c r="C4" s="196"/>
      <c r="D4" s="215"/>
      <c r="E4" s="220" t="s">
        <v>191</v>
      </c>
      <c r="F4" s="211" t="s">
        <v>116</v>
      </c>
      <c r="G4" s="213" t="s">
        <v>167</v>
      </c>
      <c r="H4" s="187" t="s">
        <v>168</v>
      </c>
      <c r="I4" s="208" t="s">
        <v>188</v>
      </c>
      <c r="J4" s="206" t="s">
        <v>189</v>
      </c>
      <c r="K4" s="125" t="s">
        <v>174</v>
      </c>
      <c r="L4" s="130" t="s">
        <v>173</v>
      </c>
      <c r="M4" s="219"/>
      <c r="N4" s="181" t="s">
        <v>194</v>
      </c>
      <c r="O4" s="208" t="s">
        <v>136</v>
      </c>
      <c r="P4" s="210" t="s">
        <v>135</v>
      </c>
      <c r="Q4" s="131" t="s">
        <v>174</v>
      </c>
      <c r="R4" s="132" t="s">
        <v>173</v>
      </c>
    </row>
    <row r="5" spans="1:18" ht="82.5" customHeight="1">
      <c r="A5" s="194"/>
      <c r="B5" s="195"/>
      <c r="C5" s="196"/>
      <c r="D5" s="215"/>
      <c r="E5" s="221"/>
      <c r="F5" s="212"/>
      <c r="G5" s="214"/>
      <c r="H5" s="188"/>
      <c r="I5" s="209"/>
      <c r="J5" s="207"/>
      <c r="K5" s="165" t="s">
        <v>184</v>
      </c>
      <c r="L5" s="166"/>
      <c r="M5" s="219"/>
      <c r="N5" s="182"/>
      <c r="O5" s="209"/>
      <c r="P5" s="210"/>
      <c r="Q5" s="165" t="s">
        <v>199</v>
      </c>
      <c r="R5" s="166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77"/>
      <c r="O138" s="177"/>
    </row>
    <row r="139" spans="3:15" ht="15.75">
      <c r="C139" s="120">
        <v>41697</v>
      </c>
      <c r="D139" s="39">
        <v>2276.8</v>
      </c>
      <c r="F139" s="4" t="s">
        <v>166</v>
      </c>
      <c r="G139" s="173" t="s">
        <v>151</v>
      </c>
      <c r="H139" s="173"/>
      <c r="I139" s="115">
        <v>13825.22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41696</v>
      </c>
      <c r="D140" s="39">
        <v>3746.1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f>'[1]залишки  (2)'!$G$8/1000</f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v>121970.53</v>
      </c>
      <c r="E142" s="80"/>
      <c r="F142" s="100" t="s">
        <v>147</v>
      </c>
      <c r="G142" s="173" t="s">
        <v>149</v>
      </c>
      <c r="H142" s="173"/>
      <c r="I142" s="116">
        <v>108145.31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v>0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91" t="s">
        <v>183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26"/>
      <c r="R1" s="127"/>
    </row>
    <row r="2" spans="2:18" s="1" customFormat="1" ht="15.75" customHeight="1">
      <c r="B2" s="192"/>
      <c r="C2" s="192"/>
      <c r="D2" s="192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3"/>
      <c r="B3" s="195"/>
      <c r="C3" s="196" t="s">
        <v>0</v>
      </c>
      <c r="D3" s="215" t="s">
        <v>192</v>
      </c>
      <c r="E3" s="46"/>
      <c r="F3" s="216" t="s">
        <v>107</v>
      </c>
      <c r="G3" s="217"/>
      <c r="H3" s="217"/>
      <c r="I3" s="217"/>
      <c r="J3" s="218"/>
      <c r="K3" s="123"/>
      <c r="L3" s="123"/>
      <c r="M3" s="189" t="s">
        <v>200</v>
      </c>
      <c r="N3" s="210" t="s">
        <v>178</v>
      </c>
      <c r="O3" s="210"/>
      <c r="P3" s="210"/>
      <c r="Q3" s="210"/>
      <c r="R3" s="210"/>
    </row>
    <row r="4" spans="1:18" ht="22.5" customHeight="1">
      <c r="A4" s="193"/>
      <c r="B4" s="195"/>
      <c r="C4" s="196"/>
      <c r="D4" s="215"/>
      <c r="E4" s="220" t="s">
        <v>153</v>
      </c>
      <c r="F4" s="211" t="s">
        <v>116</v>
      </c>
      <c r="G4" s="213" t="s">
        <v>175</v>
      </c>
      <c r="H4" s="187" t="s">
        <v>176</v>
      </c>
      <c r="I4" s="208" t="s">
        <v>188</v>
      </c>
      <c r="J4" s="206" t="s">
        <v>189</v>
      </c>
      <c r="K4" s="125" t="s">
        <v>174</v>
      </c>
      <c r="L4" s="130" t="s">
        <v>173</v>
      </c>
      <c r="M4" s="222"/>
      <c r="N4" s="181" t="s">
        <v>186</v>
      </c>
      <c r="O4" s="208" t="s">
        <v>136</v>
      </c>
      <c r="P4" s="210" t="s">
        <v>135</v>
      </c>
      <c r="Q4" s="131" t="s">
        <v>174</v>
      </c>
      <c r="R4" s="132" t="s">
        <v>173</v>
      </c>
    </row>
    <row r="5" spans="1:18" ht="82.5" customHeight="1">
      <c r="A5" s="194"/>
      <c r="B5" s="195"/>
      <c r="C5" s="196"/>
      <c r="D5" s="215"/>
      <c r="E5" s="221"/>
      <c r="F5" s="212"/>
      <c r="G5" s="214"/>
      <c r="H5" s="188"/>
      <c r="I5" s="209"/>
      <c r="J5" s="207"/>
      <c r="K5" s="165" t="s">
        <v>177</v>
      </c>
      <c r="L5" s="166"/>
      <c r="M5" s="190"/>
      <c r="N5" s="182"/>
      <c r="O5" s="209"/>
      <c r="P5" s="210"/>
      <c r="Q5" s="165" t="s">
        <v>179</v>
      </c>
      <c r="R5" s="166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0"/>
      <c r="H137" s="180"/>
      <c r="I137" s="180"/>
      <c r="J137" s="180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77"/>
      <c r="O138" s="177"/>
    </row>
    <row r="139" spans="3:15" ht="15.75">
      <c r="C139" s="120">
        <v>41669</v>
      </c>
      <c r="D139" s="39">
        <v>4752.2</v>
      </c>
      <c r="F139" s="4" t="s">
        <v>166</v>
      </c>
      <c r="G139" s="173" t="s">
        <v>151</v>
      </c>
      <c r="H139" s="173"/>
      <c r="I139" s="115">
        <v>13825.22</v>
      </c>
      <c r="J139" s="174" t="s">
        <v>161</v>
      </c>
      <c r="K139" s="174"/>
      <c r="L139" s="174"/>
      <c r="M139" s="174"/>
      <c r="N139" s="177"/>
      <c r="O139" s="177"/>
    </row>
    <row r="140" spans="3:15" ht="15.75">
      <c r="C140" s="120">
        <v>41668</v>
      </c>
      <c r="D140" s="39">
        <v>1984.7</v>
      </c>
      <c r="G140" s="175" t="s">
        <v>155</v>
      </c>
      <c r="H140" s="175"/>
      <c r="I140" s="112">
        <v>0</v>
      </c>
      <c r="J140" s="176" t="s">
        <v>162</v>
      </c>
      <c r="K140" s="176"/>
      <c r="L140" s="176"/>
      <c r="M140" s="176"/>
      <c r="N140" s="177"/>
      <c r="O140" s="177"/>
    </row>
    <row r="141" spans="7:13" ht="15.75" customHeight="1">
      <c r="G141" s="173" t="s">
        <v>148</v>
      </c>
      <c r="H141" s="173"/>
      <c r="I141" s="112">
        <v>0</v>
      </c>
      <c r="J141" s="174" t="s">
        <v>163</v>
      </c>
      <c r="K141" s="174"/>
      <c r="L141" s="174"/>
      <c r="M141" s="174"/>
    </row>
    <row r="142" spans="2:13" ht="18.75" customHeight="1">
      <c r="B142" s="171" t="s">
        <v>160</v>
      </c>
      <c r="C142" s="172"/>
      <c r="D142" s="117">
        <v>111410.62</v>
      </c>
      <c r="E142" s="80"/>
      <c r="F142" s="100" t="s">
        <v>147</v>
      </c>
      <c r="G142" s="173" t="s">
        <v>149</v>
      </c>
      <c r="H142" s="173"/>
      <c r="I142" s="116">
        <v>97585.4</v>
      </c>
      <c r="J142" s="174" t="s">
        <v>164</v>
      </c>
      <c r="K142" s="174"/>
      <c r="L142" s="174"/>
      <c r="M142" s="174"/>
    </row>
    <row r="143" spans="7:12" ht="9.75" customHeight="1">
      <c r="G143" s="167"/>
      <c r="H143" s="167"/>
      <c r="I143" s="98"/>
      <c r="J143" s="99"/>
      <c r="K143" s="99"/>
      <c r="L143" s="99"/>
    </row>
    <row r="144" spans="2:12" ht="22.5" customHeight="1">
      <c r="B144" s="168" t="s">
        <v>169</v>
      </c>
      <c r="C144" s="169"/>
      <c r="D144" s="119">
        <v>0</v>
      </c>
      <c r="E144" s="77" t="s">
        <v>104</v>
      </c>
      <c r="G144" s="167"/>
      <c r="H144" s="167"/>
      <c r="I144" s="98"/>
      <c r="J144" s="99"/>
      <c r="K144" s="99"/>
      <c r="L144" s="99"/>
    </row>
    <row r="145" spans="4:15" ht="15.75">
      <c r="D145" s="114"/>
      <c r="N145" s="167"/>
      <c r="O145" s="167"/>
    </row>
    <row r="146" spans="4:15" ht="15.75">
      <c r="D146" s="113"/>
      <c r="I146" s="39"/>
      <c r="N146" s="170"/>
      <c r="O146" s="170"/>
    </row>
    <row r="147" spans="14:15" ht="15.75">
      <c r="N147" s="167"/>
      <c r="O147" s="167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2014-06-24T08:26:11Z</cp:lastPrinted>
  <dcterms:created xsi:type="dcterms:W3CDTF">2003-07-28T11:27:56Z</dcterms:created>
  <dcterms:modified xsi:type="dcterms:W3CDTF">2014-06-24T08:26:12Z</dcterms:modified>
  <cp:category/>
  <cp:version/>
  <cp:contentType/>
  <cp:contentStatus/>
</cp:coreProperties>
</file>